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<sst xmlns="http://schemas.openxmlformats.org/spreadsheetml/2006/main" count="36" uniqueCount="36">
  <si>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</si>
  <si>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</si>
  <si>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</si>
  <si>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</si>
  <si>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</si>
  <si>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</si>
  <si>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</si>
  <si>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</si>
  <si>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</si>
  <si>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</si>
  <si>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</si>
  <si>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</si>
  <si>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</si>
  <si>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</si>
  <si>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</si>
  <si>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</si>
  <si>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</si>
  <si>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</si>
  <si>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</si>
  <si>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</si>
  <si>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</si>
  <si>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</si>
  <si>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</si>
  <si>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</si>
  <si>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</si>
  <si>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</si>
  <si>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</si>
  <si>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1400,00 - замена кранов.</t>
  </si>
  <si>
    <t>4711,00 - ремонт трубопровода ливневой канализации в подвале.                                                3483,00 - ремонт стояка канализации в кв. 33.                                                                                    251760,00 - зхамена окон ПВХ 3,4 под. в МОП.</t>
  </si>
  <si>
    <t>744,00 - ремонт запорной арматуры в подвале ХВС.                                                                                1173,00 - ремонт запорной арматуры в подвале 1 под., ХВС.</t>
  </si>
  <si>
    <t xml:space="preserve">3031,00 - ремонт вентиляционного короба, 6 под.                                                                  3214,00 - ремонт вентиляционного короба, 3 под.                                                                         2580,00 - ремонт вентиляционного короба, 5 под.  </t>
  </si>
  <si>
    <t>234542,00 - замена окон ПВХ (1,2 под.).</t>
  </si>
  <si>
    <t>12000,00 - дезинфекция подвального помещения от насекомых (6 подъездов).                          1332,00 - замена спускового клапана на трубопроводе ГВС на чердаке.                                            126700,00 - монтаж подоконников и откосов ПВХ 1-6 подъезды.                                           5750,00 - ремонт тепловычислителя количества теплоты.</t>
  </si>
  <si>
    <t>25000,00 - утепление наружных стен кв. 27.</t>
  </si>
  <si>
    <t>139546,00 - замена светильников, лампочек (1-6 подъезды).</t>
  </si>
  <si>
    <t>22904,00 - установка светильников с датчиками движения, \нергосберегающих ламп (4 под.).                                                                     32713,00 - установка светильников с датчиками движения, энергосберегающих ламп.                                                                                        11831,00 - замена задвижки ф80 в подвале.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</si>
</sst>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21">
      <selection activeCell="A2" sqref="A2:E25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2116</v>
      </c>
      <c r="B1" s="18"/>
      <c r="C1" s="18"/>
      <c r="D1" s="18"/>
      <c r="E1" s="18"/>
    </row>
    <row r="2" spans="1:5" ht="24.75" customHeight="1">
      <c r="A2" s="20" t="s">
        <v>26</v>
      </c>
      <c r="B2" s="20"/>
      <c r="C2" s="20"/>
      <c r="D2" s="20"/>
      <c r="E2" s="20"/>
    </row>
    <row r="3" spans="1:5" ht="41.25" customHeight="1">
      <c r="A3" s="21" t="s">
        <v>23</v>
      </c>
      <c r="B3" s="22"/>
      <c r="C3" s="22"/>
      <c r="D3" s="22"/>
      <c r="E3" s="22"/>
    </row>
    <row r="4" spans="1:5" ht="18.75" customHeight="1">
      <c r="A4" s="23" t="s">
        <v>24</v>
      </c>
      <c r="B4" s="24"/>
      <c r="C4" s="24"/>
      <c r="D4" s="24"/>
      <c r="E4" s="24"/>
    </row>
    <row r="5" spans="1:5" ht="30.75" customHeight="1">
      <c r="A5" s="19" t="str">
        <f>VLOOKUP(A1,'[1]2020'!$A$1:$AH$99,2,0)</f>
        <v>ул.Черняховского д.33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VLOOKUP(A1,'[1]2020'!$A$1:$AH$101,3,0)</f>
        <v>11424.5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31645.865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22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21</v>
      </c>
      <c r="B11" s="27"/>
      <c r="C11" s="27"/>
      <c r="D11" s="27"/>
      <c r="E11" s="6">
        <f>VLOOKUP(A1,'[1]2020'!$A$1:$AH$101,4,0)</f>
        <v>818470.0900000001</v>
      </c>
    </row>
    <row r="12" spans="1:5" ht="15.75">
      <c r="A12" s="3">
        <v>1</v>
      </c>
      <c r="B12" s="12" t="s">
        <v>4</v>
      </c>
      <c r="C12" s="8">
        <f>VLOOKUP(A1,'[1]2020'!$A$1:$AH$101,5,0)</f>
        <v>26833.97</v>
      </c>
      <c r="D12" s="8">
        <f>VLOOKUP(A1,'[1]2020'!$A$1:$AH$101,18,0)</f>
        <v>1400</v>
      </c>
      <c r="E12" s="10" t="s">
        <v>27</v>
      </c>
    </row>
    <row r="13" spans="1:5" ht="96" customHeight="1">
      <c r="A13" s="3">
        <v>2</v>
      </c>
      <c r="B13" s="12" t="s">
        <v>5</v>
      </c>
      <c r="C13" s="8">
        <f>VLOOKUP(A1,'[1]2020'!$A$1:$AH$101,6,0)</f>
        <v>29786.079999999998</v>
      </c>
      <c r="D13" s="8">
        <f>VLOOKUP(A1,'[1]2020'!$A$1:$AH$101,19,0)</f>
        <v>259954</v>
      </c>
      <c r="E13" s="10" t="s">
        <v>28</v>
      </c>
    </row>
    <row r="14" spans="1:5" ht="63" customHeight="1">
      <c r="A14" s="3">
        <v>3</v>
      </c>
      <c r="B14" s="12" t="s">
        <v>6</v>
      </c>
      <c r="C14" s="8">
        <f>VLOOKUP(A1,'[1]2020'!$A$1:$AH$101,7,0)</f>
        <v>29030.12</v>
      </c>
      <c r="D14" s="8">
        <f>VLOOKUP(A1,'[1]2020'!$A$1:$AH$101,20,0)</f>
        <v>1917</v>
      </c>
      <c r="E14" s="10" t="s">
        <v>29</v>
      </c>
    </row>
    <row r="15" spans="1:5" ht="94.5">
      <c r="A15" s="3">
        <v>4</v>
      </c>
      <c r="B15" s="12" t="s">
        <v>7</v>
      </c>
      <c r="C15" s="8">
        <f>VLOOKUP(A1,'[1]2020'!$A$1:$AH$101,8,0)</f>
        <v>27801.29</v>
      </c>
      <c r="D15" s="8">
        <f>VLOOKUP(A1,'[1]2020'!$A$1:$AH$101,21,0)</f>
        <v>8825</v>
      </c>
      <c r="E15" s="10" t="s">
        <v>30</v>
      </c>
    </row>
    <row r="16" spans="1:5" ht="15.75">
      <c r="A16" s="3">
        <v>5</v>
      </c>
      <c r="B16" s="12" t="s">
        <v>8</v>
      </c>
      <c r="C16" s="8">
        <f>VLOOKUP(A1,'[1]2020'!$A$1:$AH$101,9,0)</f>
        <v>37493.06</v>
      </c>
      <c r="D16" s="8">
        <f>VLOOKUP(A1,'[1]2020'!$A$1:$AH$101,22,0)</f>
        <v>234542</v>
      </c>
      <c r="E16" s="10" t="s">
        <v>31</v>
      </c>
    </row>
    <row r="17" spans="1:5" ht="15.75">
      <c r="A17" s="3">
        <v>6</v>
      </c>
      <c r="B17" s="12" t="s">
        <v>9</v>
      </c>
      <c r="C17" s="8">
        <f>VLOOKUP(A1,'[1]2020'!$A$1:$AH$101,10,0)</f>
        <v>25292.02</v>
      </c>
      <c r="D17" s="8">
        <f>VLOOKUP(A1,'[1]2020'!$A$1:$AH$101,23,0)</f>
        <v>0</v>
      </c>
      <c r="E17" s="10"/>
    </row>
    <row r="18" spans="1:5" ht="126">
      <c r="A18" s="3">
        <v>7</v>
      </c>
      <c r="B18" s="12" t="s">
        <v>10</v>
      </c>
      <c r="C18" s="8">
        <f>VLOOKUP(A1,'[1]2020'!$A$1:$AH$101,11,0)</f>
        <v>28210.2</v>
      </c>
      <c r="D18" s="8">
        <f>VLOOKUP(A1,'[1]2020'!$A$1:$AH$101,24,0)</f>
        <v>145782</v>
      </c>
      <c r="E18" s="10" t="s">
        <v>32</v>
      </c>
    </row>
    <row r="19" spans="1:5" ht="15.75">
      <c r="A19" s="3">
        <v>8</v>
      </c>
      <c r="B19" s="4" t="s">
        <v>11</v>
      </c>
      <c r="C19" s="8">
        <f>VLOOKUP(A1,'[1]2020'!$A$1:$AH$101,12,0)</f>
        <v>29339.3</v>
      </c>
      <c r="D19" s="8">
        <f>VLOOKUP(A1,'[1]2020'!$A$1:$AH$102,25,0)</f>
        <v>0</v>
      </c>
      <c r="E19" s="10"/>
    </row>
    <row r="20" spans="1:5" ht="126">
      <c r="A20" s="3">
        <v>9</v>
      </c>
      <c r="B20" s="12" t="s">
        <v>12</v>
      </c>
      <c r="C20" s="8">
        <f>VLOOKUP(A1,'[1]2020'!$A$1:$AH$101,13,0)</f>
        <v>28394.850000000002</v>
      </c>
      <c r="D20" s="8">
        <f>VLOOKUP(A1,'[1]2020'!$A$1:$AH$101,26,0)</f>
        <v>67448</v>
      </c>
      <c r="E20" s="10" t="s">
        <v>35</v>
      </c>
    </row>
    <row r="21" spans="1:5" ht="31.5">
      <c r="A21" s="3">
        <v>10</v>
      </c>
      <c r="B21" s="12" t="s">
        <v>13</v>
      </c>
      <c r="C21" s="8">
        <f>VLOOKUP(A1,'[1]2020'!$A$1:$AH$101,14,0)</f>
        <v>30826.23</v>
      </c>
      <c r="D21" s="8">
        <f>VLOOKUP(A1,'[1]2020'!$A$1:$AH$101,27,0)</f>
        <v>25000</v>
      </c>
      <c r="E21" s="10" t="s">
        <v>33</v>
      </c>
    </row>
    <row r="22" spans="1:5" ht="33" customHeight="1">
      <c r="A22" s="3">
        <v>11</v>
      </c>
      <c r="B22" s="12" t="s">
        <v>14</v>
      </c>
      <c r="C22" s="8">
        <f>VLOOKUP(A1,'[1]2020'!$A$1:$AH$101,15,0)</f>
        <v>26554.23</v>
      </c>
      <c r="D22" s="8">
        <f>VLOOKUP(A1,'[1]2020'!$A$1:$AH$101,28,0)</f>
        <v>139546</v>
      </c>
      <c r="E22" s="10" t="s">
        <v>34</v>
      </c>
    </row>
    <row r="23" spans="1:5" ht="31.5" customHeight="1">
      <c r="A23" s="3">
        <v>12</v>
      </c>
      <c r="B23" s="12" t="s">
        <v>15</v>
      </c>
      <c r="C23" s="8">
        <f>VLOOKUP(A1,'[1]2020'!$A$1:$AH$101,16,0)</f>
        <v>38137.35</v>
      </c>
      <c r="D23" s="8">
        <f>VLOOKUP(A1,'[1]2020'!$A$1:$AH$101,29,0)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357698.6999999999</v>
      </c>
      <c r="D24" s="9">
        <f>SUM(D12:D23)</f>
        <v>884414</v>
      </c>
      <c r="E24" s="11"/>
    </row>
    <row r="25" spans="1:5" ht="15.75">
      <c r="A25" s="26" t="s">
        <v>25</v>
      </c>
      <c r="B25" s="27"/>
      <c r="C25" s="27"/>
      <c r="D25" s="27"/>
      <c r="E25" s="17">
        <f>E11+C24-D24</f>
        <v>291754.79000000004</v>
      </c>
    </row>
    <row r="29" spans="1:5" ht="18.75">
      <c r="A29" s="25" t="s">
        <v>20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2021-03-18T07:46:08Z</cp:lastPrinted>
  <dcterms:created xsi:type="dcterms:W3CDTF">2016-02-16T05:22:24Z</dcterms:created>
  <dcterms:modified xsi:type="dcterms:W3CDTF">2021-03-18T07:51:46Z</dcterms:modified>
  <cp:category/>
  <cp:version/>
  <cp:contentType/>
  <cp:contentStatus/>
</cp:coreProperties>
</file>